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7155"/>
  </bookViews>
  <sheets>
    <sheet name="Hoja1" sheetId="1" r:id="rId1"/>
  </sheets>
  <definedNames>
    <definedName name="_Hlk48071465" localSheetId="0">Hoja1!$B$18</definedName>
    <definedName name="_xlnm.Print_Area" localSheetId="0">Hoja1!$B$1:$P$20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"/>
  <c r="L19" s="1"/>
  <c r="K18"/>
  <c r="L18" s="1"/>
  <c r="M18" s="1"/>
  <c r="N18" s="1"/>
  <c r="K17"/>
  <c r="L17" s="1"/>
  <c r="M17" s="1"/>
  <c r="K16"/>
  <c r="L16" s="1"/>
  <c r="K15"/>
  <c r="L15" s="1"/>
  <c r="K14"/>
  <c r="L14" s="1"/>
  <c r="K13"/>
  <c r="K12"/>
  <c r="L12" s="1"/>
  <c r="M12" s="1"/>
  <c r="N12" s="1"/>
  <c r="K11"/>
  <c r="L11" s="1"/>
  <c r="K10"/>
  <c r="L10" s="1"/>
  <c r="K9"/>
  <c r="L9" s="1"/>
  <c r="K8"/>
  <c r="L8" s="1"/>
  <c r="K7"/>
  <c r="L7" s="1"/>
  <c r="K6"/>
  <c r="L6" s="1"/>
  <c r="M6" s="1"/>
  <c r="N6" s="1"/>
  <c r="K5"/>
  <c r="L5" s="1"/>
  <c r="K4"/>
  <c r="L4" s="1"/>
  <c r="L13"/>
  <c r="K3"/>
  <c r="L3" s="1"/>
  <c r="F19"/>
  <c r="F18"/>
  <c r="F17"/>
  <c r="F16"/>
  <c r="F15"/>
  <c r="F14"/>
  <c r="F13"/>
  <c r="F12"/>
  <c r="F11"/>
  <c r="F10"/>
  <c r="F9"/>
  <c r="F8"/>
  <c r="F7"/>
  <c r="F6"/>
  <c r="F5"/>
  <c r="F4"/>
  <c r="F3"/>
  <c r="M3" l="1"/>
  <c r="N3" s="1"/>
  <c r="M5"/>
  <c r="N5" s="1"/>
  <c r="O5" s="1"/>
  <c r="N13"/>
  <c r="N9"/>
  <c r="O9" s="1"/>
  <c r="N7"/>
  <c r="M11"/>
  <c r="N11" s="1"/>
  <c r="O11" s="1"/>
  <c r="M4"/>
  <c r="N4" s="1"/>
  <c r="O4" s="1"/>
  <c r="M10"/>
  <c r="N10" s="1"/>
  <c r="O10" s="1"/>
  <c r="M16"/>
  <c r="N16" s="1"/>
  <c r="O16" s="1"/>
  <c r="N17"/>
  <c r="M9"/>
  <c r="M15"/>
  <c r="N15" s="1"/>
  <c r="O15" s="1"/>
  <c r="K20"/>
  <c r="M8"/>
  <c r="N8" s="1"/>
  <c r="O8" s="1"/>
  <c r="M14"/>
  <c r="N14" s="1"/>
  <c r="O14" s="1"/>
  <c r="M7"/>
  <c r="M13"/>
  <c r="M19"/>
  <c r="N19" s="1"/>
  <c r="O19" s="1"/>
  <c r="E19"/>
  <c r="G19" s="1"/>
  <c r="H19" s="1"/>
  <c r="E18"/>
  <c r="G18" s="1"/>
  <c r="H18" s="1"/>
  <c r="O18" s="1"/>
  <c r="E17"/>
  <c r="G17" s="1"/>
  <c r="H17" s="1"/>
  <c r="E15"/>
  <c r="G15" s="1"/>
  <c r="H15" s="1"/>
  <c r="E14"/>
  <c r="G14" s="1"/>
  <c r="H14" s="1"/>
  <c r="E13"/>
  <c r="G13" s="1"/>
  <c r="H13" s="1"/>
  <c r="E12"/>
  <c r="G12" s="1"/>
  <c r="H12" s="1"/>
  <c r="O12" s="1"/>
  <c r="E11"/>
  <c r="G11" s="1"/>
  <c r="H11" s="1"/>
  <c r="E10"/>
  <c r="G10" s="1"/>
  <c r="H10" s="1"/>
  <c r="E9"/>
  <c r="G9" s="1"/>
  <c r="H9" s="1"/>
  <c r="E8"/>
  <c r="G8" s="1"/>
  <c r="H8" s="1"/>
  <c r="E7"/>
  <c r="G7" s="1"/>
  <c r="H7" s="1"/>
  <c r="E6"/>
  <c r="G6" s="1"/>
  <c r="H6" s="1"/>
  <c r="O6" s="1"/>
  <c r="E5"/>
  <c r="G5" s="1"/>
  <c r="H5" s="1"/>
  <c r="E4"/>
  <c r="G4" s="1"/>
  <c r="H4" s="1"/>
  <c r="E3"/>
  <c r="G3" s="1"/>
  <c r="H3" s="1"/>
  <c r="E16"/>
  <c r="G16" s="1"/>
  <c r="H16" s="1"/>
  <c r="O3" l="1"/>
  <c r="O13"/>
  <c r="O7"/>
  <c r="O17"/>
  <c r="A3"/>
  <c r="A4" s="1"/>
  <c r="A5" s="1"/>
  <c r="A6" l="1"/>
  <c r="A7" s="1"/>
  <c r="A8" s="1"/>
  <c r="A9" s="1"/>
  <c r="A10" s="1"/>
  <c r="A11" s="1"/>
  <c r="A12" s="1"/>
  <c r="A13" s="1"/>
  <c r="A14" s="1"/>
  <c r="A15" s="1"/>
  <c r="A16" s="1"/>
  <c r="A17" s="1"/>
  <c r="A18" s="1"/>
  <c r="A19" s="1"/>
</calcChain>
</file>

<file path=xl/sharedStrings.xml><?xml version="1.0" encoding="utf-8"?>
<sst xmlns="http://schemas.openxmlformats.org/spreadsheetml/2006/main" count="71" uniqueCount="47">
  <si>
    <t>RODOLFO ALEXANDER MIRA PEREZ</t>
  </si>
  <si>
    <t>PAULA TRUJILLO GONZALEZ</t>
  </si>
  <si>
    <t>LAURA JULIETH CAMPO GIL</t>
  </si>
  <si>
    <t>LUZ AMPARO ORTIZ LONDOÑO</t>
  </si>
  <si>
    <t>CINDY YULIANA RIOS MUÑOZ</t>
  </si>
  <si>
    <t>LUS FERNANDO GAVIRIA LOPEZ</t>
  </si>
  <si>
    <t>ANDREA TANGARIFE CANO</t>
  </si>
  <si>
    <t>SEBASTIAN URAN PEREZ</t>
  </si>
  <si>
    <t>JUAN PABLO GALLEGO GIRALDO</t>
  </si>
  <si>
    <t>YUDY ALEJANDRA LOPEZ LONDOÑO</t>
  </si>
  <si>
    <t>CARLOS ALONSO ARANGO CADAVID</t>
  </si>
  <si>
    <t>ALEIDA MARIA VASCO GUIRALES</t>
  </si>
  <si>
    <t>LAURA MELISSA LOPERA MORALES</t>
  </si>
  <si>
    <t>JOVANY ANDRES RIOS OSORIO</t>
  </si>
  <si>
    <t>ISABEL CRISTINA RUIZ CARDONA</t>
  </si>
  <si>
    <t xml:space="preserve"> </t>
  </si>
  <si>
    <t>INGENIERO CARLOS ALBERTO MOLINA SANCHEZ</t>
  </si>
  <si>
    <t>ABOGADO</t>
  </si>
  <si>
    <t>ASESORA DESPACHO C.P.</t>
  </si>
  <si>
    <t>ASISTENCIAL</t>
  </si>
  <si>
    <t>CALIDAD</t>
  </si>
  <si>
    <t>APOYO PERSONEROS ESTUDIANTILES</t>
  </si>
  <si>
    <t>PSICOLOGA</t>
  </si>
  <si>
    <t>INGENIERO SISTEMAS</t>
  </si>
  <si>
    <t>ASESOR SEGURIDAD Y SALUD EN EL TRABAJO</t>
  </si>
  <si>
    <t>ASISTENCIAL. APOYO ARCHIVO. GESTION DOCUMENTAL</t>
  </si>
  <si>
    <t>vr. Dia</t>
  </si>
  <si>
    <t>seg.social</t>
  </si>
  <si>
    <t>estampillas</t>
  </si>
  <si>
    <t>t. deduc</t>
  </si>
  <si>
    <t>vr. Neto 2020</t>
  </si>
  <si>
    <t>dias 2021</t>
  </si>
  <si>
    <t>vr. Proyectado contrato</t>
  </si>
  <si>
    <t>smlv</t>
  </si>
  <si>
    <t>fecha</t>
  </si>
  <si>
    <t>18/01/2021 al 24/12/2021</t>
  </si>
  <si>
    <t>01/02/2021 al 24/12/2021</t>
  </si>
  <si>
    <t>01/03/2021 al 30/11/2021</t>
  </si>
  <si>
    <t>01/02/2021 al 30/11/2021</t>
  </si>
  <si>
    <t>vr. Neto a recibir</t>
  </si>
  <si>
    <t>s.social + estampillas</t>
  </si>
  <si>
    <t>diferencia 2021-2020</t>
  </si>
  <si>
    <t>ingreso 2020</t>
  </si>
  <si>
    <t>contrato 2020</t>
  </si>
  <si>
    <t>PROYECCIÓN CONTRATO 2021</t>
  </si>
  <si>
    <t>SMLV</t>
  </si>
  <si>
    <t>REFERENCIA nombre contratista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</si>
</sst>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4D4D4D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wrapText="1"/>
    </xf>
    <xf numFmtId="0" fontId="2" fillId="3" borderId="1" xfId="0" applyFont="1" applyFill="1" applyBorder="1"/>
    <xf numFmtId="0" fontId="4" fillId="0" borderId="1" xfId="0" applyNumberFormat="1" applyFont="1" applyFill="1" applyBorder="1" applyAlignment="1">
      <alignment horizontal="left" vertical="center" wrapText="1"/>
    </xf>
    <xf numFmtId="3" fontId="2" fillId="2" borderId="1" xfId="0" applyNumberFormat="1" applyFont="1" applyFill="1" applyBorder="1"/>
    <xf numFmtId="3" fontId="2" fillId="0" borderId="1" xfId="0" applyNumberFormat="1" applyFont="1" applyBorder="1"/>
    <xf numFmtId="0" fontId="5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justify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/>
    </xf>
    <xf numFmtId="3" fontId="2" fillId="3" borderId="1" xfId="0" applyNumberFormat="1" applyFont="1" applyFill="1" applyBorder="1" applyAlignment="1">
      <alignment wrapText="1"/>
    </xf>
    <xf numFmtId="0" fontId="2" fillId="0" borderId="2" xfId="0" applyFont="1" applyBorder="1" applyAlignment="1">
      <alignment horizontal="center"/>
    </xf>
    <xf numFmtId="3" fontId="5" fillId="0" borderId="2" xfId="1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left" wrapText="1"/>
    </xf>
    <xf numFmtId="3" fontId="5" fillId="0" borderId="2" xfId="0" applyNumberFormat="1" applyFont="1" applyFill="1" applyBorder="1" applyAlignment="1">
      <alignment horizontal="left" wrapText="1"/>
    </xf>
    <xf numFmtId="3" fontId="2" fillId="0" borderId="2" xfId="0" applyNumberFormat="1" applyFont="1" applyBorder="1" applyAlignment="1">
      <alignment horizontal="left"/>
    </xf>
    <xf numFmtId="3" fontId="2" fillId="0" borderId="2" xfId="0" applyNumberFormat="1" applyFont="1" applyFill="1" applyBorder="1" applyAlignment="1">
      <alignment horizontal="left"/>
    </xf>
    <xf numFmtId="3" fontId="2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wrapText="1"/>
    </xf>
    <xf numFmtId="3" fontId="2" fillId="0" borderId="2" xfId="0" applyNumberFormat="1" applyFont="1" applyBorder="1" applyAlignment="1">
      <alignment horizontal="left" vertical="top" wrapText="1"/>
    </xf>
    <xf numFmtId="0" fontId="2" fillId="0" borderId="3" xfId="0" applyFont="1" applyBorder="1"/>
    <xf numFmtId="0" fontId="3" fillId="0" borderId="7" xfId="0" applyFont="1" applyBorder="1"/>
    <xf numFmtId="0" fontId="2" fillId="0" borderId="8" xfId="0" applyFont="1" applyBorder="1"/>
    <xf numFmtId="3" fontId="2" fillId="2" borderId="7" xfId="0" applyNumberFormat="1" applyFont="1" applyFill="1" applyBorder="1"/>
    <xf numFmtId="3" fontId="2" fillId="0" borderId="8" xfId="0" applyNumberFormat="1" applyFont="1" applyBorder="1"/>
    <xf numFmtId="3" fontId="2" fillId="2" borderId="9" xfId="0" applyNumberFormat="1" applyFont="1" applyFill="1" applyBorder="1"/>
    <xf numFmtId="3" fontId="2" fillId="2" borderId="10" xfId="0" applyNumberFormat="1" applyFont="1" applyFill="1" applyBorder="1"/>
    <xf numFmtId="3" fontId="2" fillId="0" borderId="10" xfId="0" applyNumberFormat="1" applyFont="1" applyBorder="1"/>
    <xf numFmtId="3" fontId="2" fillId="0" borderId="11" xfId="0" applyNumberFormat="1" applyFont="1" applyBorder="1"/>
    <xf numFmtId="0" fontId="2" fillId="3" borderId="3" xfId="0" applyFont="1" applyFill="1" applyBorder="1"/>
    <xf numFmtId="3" fontId="2" fillId="0" borderId="3" xfId="0" applyNumberFormat="1" applyFont="1" applyBorder="1"/>
    <xf numFmtId="3" fontId="2" fillId="3" borderId="7" xfId="0" applyNumberFormat="1" applyFont="1" applyFill="1" applyBorder="1"/>
    <xf numFmtId="3" fontId="2" fillId="3" borderId="9" xfId="0" applyNumberFormat="1" applyFont="1" applyFill="1" applyBorder="1"/>
    <xf numFmtId="3" fontId="2" fillId="3" borderId="10" xfId="0" applyNumberFormat="1" applyFont="1" applyFill="1" applyBorder="1" applyAlignment="1">
      <alignment wrapText="1"/>
    </xf>
    <xf numFmtId="0" fontId="2" fillId="0" borderId="10" xfId="0" applyFont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wrapText="1"/>
    </xf>
    <xf numFmtId="3" fontId="2" fillId="0" borderId="2" xfId="0" applyNumberFormat="1" applyFont="1" applyBorder="1"/>
    <xf numFmtId="3" fontId="2" fillId="0" borderId="12" xfId="0" applyNumberFormat="1" applyFont="1" applyBorder="1"/>
    <xf numFmtId="0" fontId="2" fillId="3" borderId="7" xfId="0" applyFont="1" applyFill="1" applyBorder="1" applyAlignment="1">
      <alignment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0"/>
  <sheetViews>
    <sheetView tabSelected="1" topLeftCell="B1" workbookViewId="0">
      <pane xSplit="1" topLeftCell="C1" activePane="topRight" state="frozen"/>
      <selection activeCell="B1" sqref="B1"/>
      <selection pane="topRight" activeCell="Q3" sqref="Q3"/>
    </sheetView>
  </sheetViews>
  <sheetFormatPr baseColWidth="10" defaultRowHeight="12.75"/>
  <cols>
    <col min="1" max="1" width="3.85546875" style="1" bestFit="1" customWidth="1"/>
    <col min="2" max="2" width="31.140625" style="1" customWidth="1"/>
    <col min="3" max="3" width="13.7109375" style="2" customWidth="1"/>
    <col min="4" max="4" width="12.28515625" style="1" bestFit="1" customWidth="1"/>
    <col min="5" max="5" width="10" style="1" bestFit="1" customWidth="1"/>
    <col min="6" max="6" width="10.42578125" style="1" bestFit="1" customWidth="1"/>
    <col min="7" max="7" width="7.7109375" style="1" bestFit="1" customWidth="1"/>
    <col min="8" max="8" width="9.140625" style="1" bestFit="1" customWidth="1"/>
    <col min="9" max="9" width="11.85546875" style="1" customWidth="1"/>
    <col min="10" max="10" width="5.28515625" style="1" customWidth="1"/>
    <col min="11" max="11" width="11.140625" style="1" bestFit="1" customWidth="1"/>
    <col min="12" max="12" width="9.140625" style="1" bestFit="1" customWidth="1"/>
    <col min="13" max="13" width="10.42578125" style="1" customWidth="1"/>
    <col min="14" max="14" width="9.7109375" style="1" bestFit="1" customWidth="1"/>
    <col min="15" max="15" width="9.5703125" style="1" bestFit="1" customWidth="1"/>
    <col min="16" max="16" width="6.140625" style="1" bestFit="1" customWidth="1"/>
    <col min="17" max="16384" width="11.42578125" style="1"/>
  </cols>
  <sheetData>
    <row r="1" spans="1:16">
      <c r="B1" s="47" t="s">
        <v>33</v>
      </c>
      <c r="C1" s="48">
        <v>908526</v>
      </c>
      <c r="D1" s="53" t="s">
        <v>43</v>
      </c>
      <c r="E1" s="54"/>
      <c r="F1" s="54"/>
      <c r="G1" s="55"/>
      <c r="H1" s="53" t="s">
        <v>44</v>
      </c>
      <c r="I1" s="54"/>
      <c r="J1" s="54"/>
      <c r="K1" s="54"/>
      <c r="L1" s="54"/>
      <c r="M1" s="54"/>
      <c r="N1" s="54"/>
      <c r="O1" s="3"/>
      <c r="P1" s="3" t="s">
        <v>45</v>
      </c>
    </row>
    <row r="2" spans="1:16" ht="62.25" customHeight="1">
      <c r="A2" s="3"/>
      <c r="B2" s="3" t="s">
        <v>46</v>
      </c>
      <c r="C2" s="20"/>
      <c r="D2" s="33" t="s">
        <v>42</v>
      </c>
      <c r="E2" s="4" t="s">
        <v>27</v>
      </c>
      <c r="F2" s="5" t="s">
        <v>28</v>
      </c>
      <c r="G2" s="34" t="s">
        <v>29</v>
      </c>
      <c r="H2" s="52" t="s">
        <v>30</v>
      </c>
      <c r="I2" s="6" t="s">
        <v>34</v>
      </c>
      <c r="J2" s="5" t="s">
        <v>31</v>
      </c>
      <c r="K2" s="5" t="s">
        <v>32</v>
      </c>
      <c r="L2" s="3" t="s">
        <v>26</v>
      </c>
      <c r="M2" s="5" t="s">
        <v>40</v>
      </c>
      <c r="N2" s="49" t="s">
        <v>39</v>
      </c>
      <c r="O2" s="5" t="s">
        <v>41</v>
      </c>
      <c r="P2" s="3" t="s">
        <v>15</v>
      </c>
    </row>
    <row r="3" spans="1:16" ht="38.25">
      <c r="A3" s="3">
        <f>1</f>
        <v>1</v>
      </c>
      <c r="B3" s="7" t="s">
        <v>0</v>
      </c>
      <c r="C3" s="21" t="s">
        <v>17</v>
      </c>
      <c r="D3" s="35">
        <v>4046272</v>
      </c>
      <c r="E3" s="8">
        <f>D3*40%*29%+D3*2.75%</f>
        <v>580640.03200000001</v>
      </c>
      <c r="F3" s="9">
        <f>D3*2.75%</f>
        <v>111272.48</v>
      </c>
      <c r="G3" s="36">
        <f>E3+F3</f>
        <v>691912.51199999999</v>
      </c>
      <c r="H3" s="43">
        <f>D3-G3</f>
        <v>3354359.4879999999</v>
      </c>
      <c r="I3" s="19" t="s">
        <v>35</v>
      </c>
      <c r="J3" s="3">
        <v>337</v>
      </c>
      <c r="K3" s="9">
        <f>$C$1*6/30*J3</f>
        <v>61234652.400000006</v>
      </c>
      <c r="L3" s="9">
        <f>K3/J3*30</f>
        <v>5451156</v>
      </c>
      <c r="M3" s="9">
        <f>(L3*40%*29%)+L3*2.75%</f>
        <v>782240.88599999994</v>
      </c>
      <c r="N3" s="50">
        <f>L3-M3</f>
        <v>4668915.1140000001</v>
      </c>
      <c r="O3" s="9">
        <f>N3-H3</f>
        <v>1314555.6260000002</v>
      </c>
      <c r="P3" s="3">
        <v>6</v>
      </c>
    </row>
    <row r="4" spans="1:16" ht="38.25">
      <c r="A4" s="3">
        <f t="shared" ref="A4:A19" si="0">A3+1</f>
        <v>2</v>
      </c>
      <c r="B4" s="10" t="s">
        <v>1</v>
      </c>
      <c r="C4" s="22" t="s">
        <v>18</v>
      </c>
      <c r="D4" s="35">
        <v>5000000</v>
      </c>
      <c r="E4" s="8">
        <f t="shared" ref="E4:E15" si="1">D4*40%*29%+D4*2.75%</f>
        <v>717500</v>
      </c>
      <c r="F4" s="9">
        <f t="shared" ref="F4:F19" si="2">D4*2.75%</f>
        <v>137500</v>
      </c>
      <c r="G4" s="36">
        <f t="shared" ref="G4:G19" si="3">E4+F4</f>
        <v>855000</v>
      </c>
      <c r="H4" s="43">
        <f t="shared" ref="H4:H19" si="4">D4-G4</f>
        <v>4145000</v>
      </c>
      <c r="I4" s="19" t="s">
        <v>35</v>
      </c>
      <c r="J4" s="3">
        <v>337</v>
      </c>
      <c r="K4" s="9">
        <f>$C$1*5.8/30*J4</f>
        <v>59193497.319999993</v>
      </c>
      <c r="L4" s="9">
        <f t="shared" ref="L4:L19" si="5">K4/J4*30</f>
        <v>5269450.8</v>
      </c>
      <c r="M4" s="9">
        <f t="shared" ref="M4:M19" si="6">(L4*40%*29%)+L4*2.75%</f>
        <v>756166.18979999993</v>
      </c>
      <c r="N4" s="50">
        <f t="shared" ref="N4:N19" si="7">L4-M4</f>
        <v>4513284.6102</v>
      </c>
      <c r="O4" s="9">
        <f t="shared" ref="O4:O19" si="8">N4-H4</f>
        <v>368284.6102</v>
      </c>
      <c r="P4" s="3">
        <v>5.8</v>
      </c>
    </row>
    <row r="5" spans="1:16" ht="38.25">
      <c r="A5" s="3">
        <f t="shared" si="0"/>
        <v>3</v>
      </c>
      <c r="B5" s="11" t="s">
        <v>16</v>
      </c>
      <c r="C5" s="23" t="s">
        <v>23</v>
      </c>
      <c r="D5" s="35">
        <v>5000000</v>
      </c>
      <c r="E5" s="8">
        <f t="shared" si="1"/>
        <v>717500</v>
      </c>
      <c r="F5" s="9">
        <f t="shared" si="2"/>
        <v>137500</v>
      </c>
      <c r="G5" s="36">
        <f t="shared" si="3"/>
        <v>855000</v>
      </c>
      <c r="H5" s="43">
        <f t="shared" si="4"/>
        <v>4145000</v>
      </c>
      <c r="I5" s="19" t="s">
        <v>35</v>
      </c>
      <c r="J5" s="3">
        <v>337</v>
      </c>
      <c r="K5" s="9">
        <f>$C$1*5.6/30*J5</f>
        <v>57152342.239999995</v>
      </c>
      <c r="L5" s="9">
        <f t="shared" si="5"/>
        <v>5087745.5999999996</v>
      </c>
      <c r="M5" s="9">
        <f t="shared" si="6"/>
        <v>730091.49359999993</v>
      </c>
      <c r="N5" s="50">
        <f t="shared" si="7"/>
        <v>4357654.1063999999</v>
      </c>
      <c r="O5" s="9">
        <f t="shared" si="8"/>
        <v>212654.10639999993</v>
      </c>
      <c r="P5" s="3">
        <v>5.6</v>
      </c>
    </row>
    <row r="6" spans="1:16" ht="38.25">
      <c r="A6" s="3">
        <f t="shared" si="0"/>
        <v>4</v>
      </c>
      <c r="B6" s="12" t="s">
        <v>5</v>
      </c>
      <c r="C6" s="24" t="s">
        <v>20</v>
      </c>
      <c r="D6" s="35">
        <v>3444444</v>
      </c>
      <c r="E6" s="8">
        <f t="shared" si="1"/>
        <v>494277.71400000004</v>
      </c>
      <c r="F6" s="9">
        <f t="shared" si="2"/>
        <v>94722.21</v>
      </c>
      <c r="G6" s="36">
        <f t="shared" si="3"/>
        <v>588999.924</v>
      </c>
      <c r="H6" s="43">
        <f t="shared" si="4"/>
        <v>2855444.0759999999</v>
      </c>
      <c r="I6" s="19" t="s">
        <v>35</v>
      </c>
      <c r="J6" s="3">
        <v>337</v>
      </c>
      <c r="K6" s="9">
        <f>$C$1*4.5/30*J6</f>
        <v>45925989.299999997</v>
      </c>
      <c r="L6" s="9">
        <f t="shared" si="5"/>
        <v>4088367</v>
      </c>
      <c r="M6" s="9">
        <f t="shared" si="6"/>
        <v>586680.66449999996</v>
      </c>
      <c r="N6" s="50">
        <f t="shared" si="7"/>
        <v>3501686.3355</v>
      </c>
      <c r="O6" s="9">
        <f t="shared" si="8"/>
        <v>646242.25950000016</v>
      </c>
      <c r="P6" s="3">
        <v>4.5</v>
      </c>
    </row>
    <row r="7" spans="1:16" ht="38.25">
      <c r="A7" s="3">
        <f t="shared" si="0"/>
        <v>5</v>
      </c>
      <c r="B7" s="10" t="s">
        <v>9</v>
      </c>
      <c r="C7" s="25" t="s">
        <v>17</v>
      </c>
      <c r="D7" s="35">
        <v>3200000</v>
      </c>
      <c r="E7" s="8">
        <f t="shared" si="1"/>
        <v>459200</v>
      </c>
      <c r="F7" s="9">
        <f t="shared" si="2"/>
        <v>88000</v>
      </c>
      <c r="G7" s="36">
        <f t="shared" si="3"/>
        <v>547200</v>
      </c>
      <c r="H7" s="43">
        <f t="shared" si="4"/>
        <v>2652800</v>
      </c>
      <c r="I7" s="19" t="s">
        <v>36</v>
      </c>
      <c r="J7" s="3">
        <v>324</v>
      </c>
      <c r="K7" s="9">
        <f>$C$1*3.6/30*J7</f>
        <v>35323490.880000003</v>
      </c>
      <c r="L7" s="9">
        <f t="shared" si="5"/>
        <v>3270693.6</v>
      </c>
      <c r="M7" s="9">
        <f t="shared" si="6"/>
        <v>469344.53160000005</v>
      </c>
      <c r="N7" s="50">
        <f t="shared" si="7"/>
        <v>2801349.0684000002</v>
      </c>
      <c r="O7" s="9">
        <f t="shared" si="8"/>
        <v>148549.06840000022</v>
      </c>
      <c r="P7" s="3">
        <v>3.6</v>
      </c>
    </row>
    <row r="8" spans="1:16" ht="38.25">
      <c r="A8" s="3">
        <f t="shared" si="0"/>
        <v>6</v>
      </c>
      <c r="B8" s="12" t="s">
        <v>10</v>
      </c>
      <c r="C8" s="24" t="s">
        <v>17</v>
      </c>
      <c r="D8" s="35">
        <v>3000000</v>
      </c>
      <c r="E8" s="8">
        <f t="shared" si="1"/>
        <v>430500</v>
      </c>
      <c r="F8" s="9">
        <f t="shared" si="2"/>
        <v>82500</v>
      </c>
      <c r="G8" s="36">
        <f t="shared" si="3"/>
        <v>513000</v>
      </c>
      <c r="H8" s="43">
        <f t="shared" si="4"/>
        <v>2487000</v>
      </c>
      <c r="I8" s="19" t="s">
        <v>35</v>
      </c>
      <c r="J8" s="3">
        <v>337</v>
      </c>
      <c r="K8" s="9">
        <f>$C$1*3.6/30*J8</f>
        <v>36740791.440000005</v>
      </c>
      <c r="L8" s="9">
        <f t="shared" si="5"/>
        <v>3270693.6</v>
      </c>
      <c r="M8" s="9">
        <f t="shared" si="6"/>
        <v>469344.53160000005</v>
      </c>
      <c r="N8" s="50">
        <f t="shared" si="7"/>
        <v>2801349.0684000002</v>
      </c>
      <c r="O8" s="9">
        <f t="shared" si="8"/>
        <v>314349.06840000022</v>
      </c>
      <c r="P8" s="3">
        <v>3.6</v>
      </c>
    </row>
    <row r="9" spans="1:16" ht="38.25">
      <c r="A9" s="3">
        <f t="shared" si="0"/>
        <v>7</v>
      </c>
      <c r="B9" s="11" t="s">
        <v>11</v>
      </c>
      <c r="C9" s="26" t="s">
        <v>22</v>
      </c>
      <c r="D9" s="35">
        <v>2900000</v>
      </c>
      <c r="E9" s="8">
        <f t="shared" si="1"/>
        <v>416150</v>
      </c>
      <c r="F9" s="9">
        <f t="shared" si="2"/>
        <v>79750</v>
      </c>
      <c r="G9" s="36">
        <f t="shared" si="3"/>
        <v>495900</v>
      </c>
      <c r="H9" s="43">
        <f t="shared" si="4"/>
        <v>2404100</v>
      </c>
      <c r="I9" s="19" t="s">
        <v>36</v>
      </c>
      <c r="J9" s="3">
        <v>324</v>
      </c>
      <c r="K9" s="9">
        <f>$C$1*3.6/30*J9</f>
        <v>35323490.880000003</v>
      </c>
      <c r="L9" s="9">
        <f t="shared" si="5"/>
        <v>3270693.6</v>
      </c>
      <c r="M9" s="9">
        <f t="shared" si="6"/>
        <v>469344.53160000005</v>
      </c>
      <c r="N9" s="50">
        <f t="shared" si="7"/>
        <v>2801349.0684000002</v>
      </c>
      <c r="O9" s="9">
        <f t="shared" si="8"/>
        <v>397249.06840000022</v>
      </c>
      <c r="P9" s="3">
        <v>3.6</v>
      </c>
    </row>
    <row r="10" spans="1:16" ht="38.25">
      <c r="A10" s="3">
        <f t="shared" si="0"/>
        <v>8</v>
      </c>
      <c r="B10" s="12" t="s">
        <v>6</v>
      </c>
      <c r="C10" s="24" t="s">
        <v>17</v>
      </c>
      <c r="D10" s="35">
        <v>2800169</v>
      </c>
      <c r="E10" s="8">
        <f t="shared" si="1"/>
        <v>401824.25150000001</v>
      </c>
      <c r="F10" s="9">
        <f t="shared" si="2"/>
        <v>77004.647500000006</v>
      </c>
      <c r="G10" s="36">
        <f t="shared" si="3"/>
        <v>478828.89900000003</v>
      </c>
      <c r="H10" s="43">
        <f t="shared" si="4"/>
        <v>2321340.1009999998</v>
      </c>
      <c r="I10" s="19" t="s">
        <v>36</v>
      </c>
      <c r="J10" s="3">
        <v>324</v>
      </c>
      <c r="K10" s="9">
        <f>$C$1*3.6/30*J10</f>
        <v>35323490.880000003</v>
      </c>
      <c r="L10" s="9">
        <f t="shared" si="5"/>
        <v>3270693.6</v>
      </c>
      <c r="M10" s="9">
        <f t="shared" si="6"/>
        <v>469344.53160000005</v>
      </c>
      <c r="N10" s="50">
        <f t="shared" si="7"/>
        <v>2801349.0684000002</v>
      </c>
      <c r="O10" s="9">
        <f t="shared" si="8"/>
        <v>480008.96740000043</v>
      </c>
      <c r="P10" s="3">
        <v>3.6</v>
      </c>
    </row>
    <row r="11" spans="1:16" ht="38.25">
      <c r="A11" s="3">
        <f t="shared" si="0"/>
        <v>9</v>
      </c>
      <c r="B11" s="13" t="s">
        <v>2</v>
      </c>
      <c r="C11" s="27" t="s">
        <v>17</v>
      </c>
      <c r="D11" s="35">
        <v>2700000</v>
      </c>
      <c r="E11" s="8">
        <f t="shared" si="1"/>
        <v>387450</v>
      </c>
      <c r="F11" s="9">
        <f t="shared" si="2"/>
        <v>74250</v>
      </c>
      <c r="G11" s="36">
        <f t="shared" si="3"/>
        <v>461700</v>
      </c>
      <c r="H11" s="43">
        <f t="shared" si="4"/>
        <v>2238300</v>
      </c>
      <c r="I11" s="19" t="s">
        <v>35</v>
      </c>
      <c r="J11" s="3">
        <v>337</v>
      </c>
      <c r="K11" s="9">
        <f>$C$1*3.3/30*J11</f>
        <v>33679058.82</v>
      </c>
      <c r="L11" s="9">
        <f t="shared" si="5"/>
        <v>2998135.8</v>
      </c>
      <c r="M11" s="9">
        <f t="shared" si="6"/>
        <v>430232.48730000004</v>
      </c>
      <c r="N11" s="50">
        <f t="shared" si="7"/>
        <v>2567903.3126999997</v>
      </c>
      <c r="O11" s="9">
        <f t="shared" si="8"/>
        <v>329603.31269999966</v>
      </c>
      <c r="P11" s="3">
        <v>3.3</v>
      </c>
    </row>
    <row r="12" spans="1:16" ht="38.25">
      <c r="A12" s="3">
        <f t="shared" si="0"/>
        <v>10</v>
      </c>
      <c r="B12" s="10" t="s">
        <v>8</v>
      </c>
      <c r="C12" s="25" t="s">
        <v>17</v>
      </c>
      <c r="D12" s="35">
        <v>2635135</v>
      </c>
      <c r="E12" s="8">
        <f t="shared" si="1"/>
        <v>378141.87249999994</v>
      </c>
      <c r="F12" s="9">
        <f t="shared" si="2"/>
        <v>72466.212499999994</v>
      </c>
      <c r="G12" s="36">
        <f t="shared" si="3"/>
        <v>450608.08499999996</v>
      </c>
      <c r="H12" s="43">
        <f t="shared" si="4"/>
        <v>2184526.915</v>
      </c>
      <c r="I12" s="19" t="s">
        <v>35</v>
      </c>
      <c r="J12" s="3">
        <v>337</v>
      </c>
      <c r="K12" s="9">
        <f>$C$1*3.3/30*J12</f>
        <v>33679058.82</v>
      </c>
      <c r="L12" s="9">
        <f t="shared" si="5"/>
        <v>2998135.8</v>
      </c>
      <c r="M12" s="9">
        <f t="shared" si="6"/>
        <v>430232.48730000004</v>
      </c>
      <c r="N12" s="50">
        <f t="shared" si="7"/>
        <v>2567903.3126999997</v>
      </c>
      <c r="O12" s="9">
        <f t="shared" si="8"/>
        <v>383376.39769999962</v>
      </c>
      <c r="P12" s="3">
        <v>3.3</v>
      </c>
    </row>
    <row r="13" spans="1:16" ht="38.25">
      <c r="A13" s="3">
        <f t="shared" si="0"/>
        <v>11</v>
      </c>
      <c r="B13" s="14" t="s">
        <v>12</v>
      </c>
      <c r="C13" s="28" t="s">
        <v>17</v>
      </c>
      <c r="D13" s="35">
        <v>2900000</v>
      </c>
      <c r="E13" s="8">
        <f t="shared" si="1"/>
        <v>416150</v>
      </c>
      <c r="F13" s="9">
        <f t="shared" si="2"/>
        <v>79750</v>
      </c>
      <c r="G13" s="36">
        <f t="shared" si="3"/>
        <v>495900</v>
      </c>
      <c r="H13" s="43">
        <f t="shared" si="4"/>
        <v>2404100</v>
      </c>
      <c r="I13" s="19" t="s">
        <v>36</v>
      </c>
      <c r="J13" s="3">
        <v>324</v>
      </c>
      <c r="K13" s="9">
        <f>$C$1*3.3/30*J13</f>
        <v>32379866.640000001</v>
      </c>
      <c r="L13" s="9">
        <f t="shared" si="5"/>
        <v>2998135.8</v>
      </c>
      <c r="M13" s="9">
        <f t="shared" si="6"/>
        <v>430232.48730000004</v>
      </c>
      <c r="N13" s="50">
        <f t="shared" si="7"/>
        <v>2567903.3126999997</v>
      </c>
      <c r="O13" s="9">
        <f t="shared" si="8"/>
        <v>163803.31269999966</v>
      </c>
      <c r="P13" s="3">
        <v>3.3</v>
      </c>
    </row>
    <row r="14" spans="1:16" ht="38.25">
      <c r="A14" s="3">
        <f t="shared" si="0"/>
        <v>12</v>
      </c>
      <c r="B14" s="15" t="s">
        <v>13</v>
      </c>
      <c r="C14" s="29" t="s">
        <v>17</v>
      </c>
      <c r="D14" s="35">
        <v>2600000</v>
      </c>
      <c r="E14" s="8">
        <f t="shared" si="1"/>
        <v>373100</v>
      </c>
      <c r="F14" s="9">
        <f t="shared" si="2"/>
        <v>71500</v>
      </c>
      <c r="G14" s="36">
        <f t="shared" si="3"/>
        <v>444600</v>
      </c>
      <c r="H14" s="43">
        <f t="shared" si="4"/>
        <v>2155400</v>
      </c>
      <c r="I14" s="19" t="s">
        <v>38</v>
      </c>
      <c r="J14" s="3">
        <v>300</v>
      </c>
      <c r="K14" s="9">
        <f>$C$1*3.3/30*J14</f>
        <v>29981358</v>
      </c>
      <c r="L14" s="9">
        <f t="shared" si="5"/>
        <v>2998135.8</v>
      </c>
      <c r="M14" s="9">
        <f t="shared" si="6"/>
        <v>430232.48730000004</v>
      </c>
      <c r="N14" s="50">
        <f t="shared" si="7"/>
        <v>2567903.3126999997</v>
      </c>
      <c r="O14" s="9">
        <f t="shared" si="8"/>
        <v>412503.31269999966</v>
      </c>
      <c r="P14" s="3">
        <v>3.3</v>
      </c>
    </row>
    <row r="15" spans="1:16" ht="38.25">
      <c r="A15" s="3">
        <f t="shared" si="0"/>
        <v>13</v>
      </c>
      <c r="B15" s="10" t="s">
        <v>4</v>
      </c>
      <c r="C15" s="25" t="s">
        <v>17</v>
      </c>
      <c r="D15" s="35">
        <v>2444444</v>
      </c>
      <c r="E15" s="8">
        <f t="shared" si="1"/>
        <v>350777.71400000004</v>
      </c>
      <c r="F15" s="9">
        <f t="shared" si="2"/>
        <v>67222.210000000006</v>
      </c>
      <c r="G15" s="36">
        <f t="shared" si="3"/>
        <v>417999.92400000006</v>
      </c>
      <c r="H15" s="43">
        <f t="shared" si="4"/>
        <v>2026444.0759999999</v>
      </c>
      <c r="I15" s="19" t="s">
        <v>36</v>
      </c>
      <c r="J15" s="3">
        <v>324</v>
      </c>
      <c r="K15" s="9">
        <f>$C$1*2.9/30*J15</f>
        <v>28455034.319999997</v>
      </c>
      <c r="L15" s="9">
        <f t="shared" si="5"/>
        <v>2634725.4</v>
      </c>
      <c r="M15" s="9">
        <f t="shared" si="6"/>
        <v>378083.09489999997</v>
      </c>
      <c r="N15" s="50">
        <f t="shared" si="7"/>
        <v>2256642.3051</v>
      </c>
      <c r="O15" s="9">
        <f t="shared" si="8"/>
        <v>230198.22910000011</v>
      </c>
      <c r="P15" s="3">
        <v>2.9</v>
      </c>
    </row>
    <row r="16" spans="1:16" ht="38.25">
      <c r="A16" s="3">
        <f t="shared" si="0"/>
        <v>14</v>
      </c>
      <c r="B16" s="12" t="s">
        <v>3</v>
      </c>
      <c r="C16" s="30" t="s">
        <v>19</v>
      </c>
      <c r="D16" s="35">
        <v>1900000</v>
      </c>
      <c r="E16" s="8">
        <f>D16*40%*29%</f>
        <v>220399.99999999997</v>
      </c>
      <c r="F16" s="9">
        <f t="shared" si="2"/>
        <v>52250</v>
      </c>
      <c r="G16" s="36">
        <f t="shared" si="3"/>
        <v>272650</v>
      </c>
      <c r="H16" s="43">
        <f t="shared" si="4"/>
        <v>1627350</v>
      </c>
      <c r="I16" s="19" t="s">
        <v>36</v>
      </c>
      <c r="J16" s="3">
        <v>324</v>
      </c>
      <c r="K16" s="9">
        <f>$C$1*2.3/30*J16</f>
        <v>22567785.839999996</v>
      </c>
      <c r="L16" s="9">
        <f t="shared" si="5"/>
        <v>2089609.7999999996</v>
      </c>
      <c r="M16" s="9">
        <f t="shared" si="6"/>
        <v>299859.00629999995</v>
      </c>
      <c r="N16" s="50">
        <f t="shared" si="7"/>
        <v>1789750.7936999996</v>
      </c>
      <c r="O16" s="9">
        <f t="shared" si="8"/>
        <v>162400.79369999957</v>
      </c>
      <c r="P16" s="3">
        <v>2.2999999999999998</v>
      </c>
    </row>
    <row r="17" spans="1:16" ht="63.75">
      <c r="A17" s="3">
        <f t="shared" si="0"/>
        <v>15</v>
      </c>
      <c r="B17" s="16" t="s">
        <v>7</v>
      </c>
      <c r="C17" s="24" t="s">
        <v>21</v>
      </c>
      <c r="D17" s="35">
        <v>2300000</v>
      </c>
      <c r="E17" s="8">
        <f>D17*40%*29%+D17*2%</f>
        <v>312800</v>
      </c>
      <c r="F17" s="9">
        <f t="shared" si="2"/>
        <v>63250</v>
      </c>
      <c r="G17" s="36">
        <f t="shared" si="3"/>
        <v>376050</v>
      </c>
      <c r="H17" s="43">
        <f t="shared" si="4"/>
        <v>1923950</v>
      </c>
      <c r="I17" s="19" t="s">
        <v>36</v>
      </c>
      <c r="J17" s="3">
        <v>324</v>
      </c>
      <c r="K17" s="9">
        <f>$C$1*2.6/30*J17</f>
        <v>25511410.079999998</v>
      </c>
      <c r="L17" s="9">
        <f t="shared" si="5"/>
        <v>2362167.6</v>
      </c>
      <c r="M17" s="9">
        <f t="shared" si="6"/>
        <v>338971.05060000002</v>
      </c>
      <c r="N17" s="50">
        <f t="shared" si="7"/>
        <v>2023196.5494000001</v>
      </c>
      <c r="O17" s="9">
        <f t="shared" si="8"/>
        <v>99246.549400000134</v>
      </c>
      <c r="P17" s="3">
        <v>2.6</v>
      </c>
    </row>
    <row r="18" spans="1:16" ht="63.75">
      <c r="A18" s="3">
        <f t="shared" si="0"/>
        <v>16</v>
      </c>
      <c r="B18" s="17" t="s">
        <v>14</v>
      </c>
      <c r="C18" s="31" t="s">
        <v>25</v>
      </c>
      <c r="D18" s="35">
        <v>1575000</v>
      </c>
      <c r="E18" s="8">
        <f t="shared" ref="E18:E19" si="9">D18*40%*29%+D18*2%</f>
        <v>214200</v>
      </c>
      <c r="F18" s="9">
        <f t="shared" si="2"/>
        <v>43312.5</v>
      </c>
      <c r="G18" s="36">
        <f t="shared" si="3"/>
        <v>257512.5</v>
      </c>
      <c r="H18" s="43">
        <f t="shared" si="4"/>
        <v>1317487.5</v>
      </c>
      <c r="I18" s="19" t="s">
        <v>36</v>
      </c>
      <c r="J18" s="3">
        <v>324</v>
      </c>
      <c r="K18" s="9">
        <f>$C$1*2.3/30*J18</f>
        <v>22567785.839999996</v>
      </c>
      <c r="L18" s="9">
        <f t="shared" si="5"/>
        <v>2089609.7999999996</v>
      </c>
      <c r="M18" s="9">
        <f t="shared" si="6"/>
        <v>299859.00629999995</v>
      </c>
      <c r="N18" s="50">
        <f t="shared" si="7"/>
        <v>1789750.7936999996</v>
      </c>
      <c r="O18" s="9">
        <f t="shared" si="8"/>
        <v>472263.29369999957</v>
      </c>
      <c r="P18" s="3">
        <v>2.2999999999999998</v>
      </c>
    </row>
    <row r="19" spans="1:16" ht="51.75" thickBot="1">
      <c r="A19" s="3">
        <f t="shared" si="0"/>
        <v>17</v>
      </c>
      <c r="B19" s="15" t="s">
        <v>15</v>
      </c>
      <c r="C19" s="31" t="s">
        <v>24</v>
      </c>
      <c r="D19" s="37">
        <v>1309091</v>
      </c>
      <c r="E19" s="38">
        <f t="shared" si="9"/>
        <v>178036.37599999999</v>
      </c>
      <c r="F19" s="39">
        <f t="shared" si="2"/>
        <v>36000.002500000002</v>
      </c>
      <c r="G19" s="40">
        <f t="shared" si="3"/>
        <v>214036.37849999999</v>
      </c>
      <c r="H19" s="44">
        <f t="shared" si="4"/>
        <v>1095054.6214999999</v>
      </c>
      <c r="I19" s="45" t="s">
        <v>37</v>
      </c>
      <c r="J19" s="46">
        <v>270</v>
      </c>
      <c r="K19" s="39">
        <f>$C$1*3.5/30*J19</f>
        <v>28618569</v>
      </c>
      <c r="L19" s="39">
        <f t="shared" si="5"/>
        <v>3179841</v>
      </c>
      <c r="M19" s="39">
        <f t="shared" si="6"/>
        <v>456307.18350000004</v>
      </c>
      <c r="N19" s="51">
        <f t="shared" si="7"/>
        <v>2723533.8164999997</v>
      </c>
      <c r="O19" s="9">
        <f t="shared" si="8"/>
        <v>1628479.1949999998</v>
      </c>
      <c r="P19" s="3">
        <v>3.5</v>
      </c>
    </row>
    <row r="20" spans="1:16">
      <c r="A20" s="3" t="s">
        <v>15</v>
      </c>
      <c r="B20" s="3"/>
      <c r="C20" s="18"/>
      <c r="D20" s="32"/>
      <c r="E20" s="32"/>
      <c r="F20" s="32"/>
      <c r="G20" s="32"/>
      <c r="H20" s="41"/>
      <c r="I20" s="41"/>
      <c r="J20" s="32"/>
      <c r="K20" s="42">
        <f>SUM(K3:K19)</f>
        <v>623657672.70000005</v>
      </c>
      <c r="L20" s="32" t="s">
        <v>15</v>
      </c>
      <c r="M20" s="32"/>
      <c r="N20" s="32"/>
      <c r="O20" s="32"/>
    </row>
  </sheetData>
  <mergeCells count="2">
    <mergeCell ref="D1:G1"/>
    <mergeCell ref="H1:N1"/>
  </mergeCells>
  <pageMargins left="0.7" right="0.7" top="0.75" bottom="0.75" header="0.3" footer="0.3"/>
  <pageSetup paperSize="14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Hoja1!_Hlk48071465</vt:lpstr>
      <vt:lpstr>Hoja1!Área_de_impresión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 Velez</dc:creator>
  <cp:lastModifiedBy>42763078</cp:lastModifiedBy>
  <cp:lastPrinted>2021-01-13T20:54:50Z</cp:lastPrinted>
  <dcterms:created xsi:type="dcterms:W3CDTF">2020-05-19T19:58:59Z</dcterms:created>
  <dcterms:modified xsi:type="dcterms:W3CDTF">2023-01-11T18:37:50Z</dcterms:modified>
</cp:coreProperties>
</file>